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 activeTab="1"/>
  </bookViews>
  <sheets>
    <sheet name="211" sheetId="1" r:id="rId1"/>
    <sheet name="213" sheetId="3" r:id="rId2"/>
  </sheets>
  <definedNames>
    <definedName name="_xlnm.Print_Area" localSheetId="0">'211'!$A$1:$W$32</definedName>
    <definedName name="_xlnm.Print_Area" localSheetId="1">'213'!$A$1:$E$18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1" l="1"/>
  <c r="W14" i="1"/>
  <c r="W15" i="1"/>
  <c r="W16" i="1"/>
  <c r="W18" i="1"/>
  <c r="W19" i="1"/>
  <c r="W20" i="1"/>
  <c r="W21" i="1"/>
  <c r="W22" i="1"/>
  <c r="W23" i="1"/>
  <c r="W24" i="1"/>
  <c r="W25" i="1"/>
  <c r="W26" i="1"/>
  <c r="W27" i="1"/>
  <c r="W12" i="1"/>
  <c r="S29" i="1" l="1"/>
  <c r="D29" i="1"/>
  <c r="C29" i="1"/>
  <c r="H28" i="1"/>
  <c r="I28" i="1" s="1"/>
  <c r="F28" i="1"/>
  <c r="J28" i="1" s="1"/>
  <c r="H27" i="1"/>
  <c r="F27" i="1"/>
  <c r="U26" i="1"/>
  <c r="H26" i="1"/>
  <c r="F26" i="1"/>
  <c r="U25" i="1"/>
  <c r="H25" i="1"/>
  <c r="F25" i="1"/>
  <c r="U24" i="1"/>
  <c r="H24" i="1"/>
  <c r="F24" i="1"/>
  <c r="U23" i="1"/>
  <c r="H23" i="1"/>
  <c r="F23" i="1"/>
  <c r="U22" i="1"/>
  <c r="H22" i="1"/>
  <c r="U21" i="1"/>
  <c r="J21" i="1"/>
  <c r="L21" i="1" s="1"/>
  <c r="M21" i="1" s="1"/>
  <c r="I21" i="1"/>
  <c r="H21" i="1"/>
  <c r="U20" i="1"/>
  <c r="J19" i="1" s="1"/>
  <c r="I20" i="1"/>
  <c r="J20" i="1" s="1"/>
  <c r="H20" i="1"/>
  <c r="F20" i="1"/>
  <c r="U19" i="1"/>
  <c r="I19" i="1"/>
  <c r="H19" i="1"/>
  <c r="F19" i="1"/>
  <c r="U18" i="1"/>
  <c r="I18" i="1"/>
  <c r="J18" i="1" s="1"/>
  <c r="H18" i="1"/>
  <c r="F18" i="1"/>
  <c r="U17" i="1"/>
  <c r="H17" i="1"/>
  <c r="I17" i="1" s="1"/>
  <c r="J17" i="1" s="1"/>
  <c r="U16" i="1"/>
  <c r="H16" i="1"/>
  <c r="I16" i="1" s="1"/>
  <c r="T15" i="1"/>
  <c r="T29" i="1" s="1"/>
  <c r="H15" i="1"/>
  <c r="I15" i="1" s="1"/>
  <c r="F15" i="1"/>
  <c r="J15" i="1" s="1"/>
  <c r="H14" i="1"/>
  <c r="F14" i="1"/>
  <c r="H13" i="1"/>
  <c r="F13" i="1"/>
  <c r="I13" i="1" s="1"/>
  <c r="J13" i="1" s="1"/>
  <c r="I12" i="1"/>
  <c r="J12" i="1" s="1"/>
  <c r="H12" i="1"/>
  <c r="F12" i="1"/>
  <c r="H29" i="1" l="1"/>
  <c r="L15" i="1"/>
  <c r="M15" i="1" s="1"/>
  <c r="L28" i="1"/>
  <c r="M28" i="1" s="1"/>
  <c r="L17" i="1"/>
  <c r="M17" i="1" s="1"/>
  <c r="L18" i="1"/>
  <c r="M18" i="1" s="1"/>
  <c r="N18" i="1"/>
  <c r="L20" i="1"/>
  <c r="M20" i="1" s="1"/>
  <c r="L13" i="1"/>
  <c r="M13" i="1" s="1"/>
  <c r="N13" i="1"/>
  <c r="L12" i="1"/>
  <c r="L19" i="1"/>
  <c r="M19" i="1" s="1"/>
  <c r="J26" i="1"/>
  <c r="F29" i="1"/>
  <c r="I14" i="1"/>
  <c r="J14" i="1" s="1"/>
  <c r="U15" i="1"/>
  <c r="U29" i="1" s="1"/>
  <c r="J16" i="1"/>
  <c r="I22" i="1"/>
  <c r="J22" i="1" s="1"/>
  <c r="I23" i="1"/>
  <c r="J23" i="1" s="1"/>
  <c r="I24" i="1"/>
  <c r="J24" i="1" s="1"/>
  <c r="I25" i="1"/>
  <c r="J25" i="1" s="1"/>
  <c r="I26" i="1"/>
  <c r="I27" i="1"/>
  <c r="J27" i="1" s="1"/>
  <c r="N21" i="1"/>
  <c r="E17" i="3"/>
  <c r="E16" i="3"/>
  <c r="E15" i="3"/>
  <c r="E12" i="3"/>
  <c r="E10" i="3"/>
  <c r="N27" i="1" l="1"/>
  <c r="L27" i="1"/>
  <c r="M27" i="1" s="1"/>
  <c r="L23" i="1"/>
  <c r="M23" i="1" s="1"/>
  <c r="N23" i="1"/>
  <c r="N12" i="1"/>
  <c r="L22" i="1"/>
  <c r="M22" i="1" s="1"/>
  <c r="L25" i="1"/>
  <c r="M25" i="1" s="1"/>
  <c r="L24" i="1"/>
  <c r="M24" i="1" s="1"/>
  <c r="L14" i="1"/>
  <c r="M14" i="1" s="1"/>
  <c r="N14" i="1"/>
  <c r="J29" i="1"/>
  <c r="P21" i="1"/>
  <c r="Q21" i="1" s="1"/>
  <c r="R21" i="1"/>
  <c r="V21" i="1" s="1"/>
  <c r="L16" i="1"/>
  <c r="M16" i="1" s="1"/>
  <c r="L26" i="1"/>
  <c r="M26" i="1" s="1"/>
  <c r="N26" i="1"/>
  <c r="P13" i="1"/>
  <c r="Q13" i="1" s="1"/>
  <c r="I29" i="1"/>
  <c r="N19" i="1"/>
  <c r="N20" i="1"/>
  <c r="N17" i="1"/>
  <c r="N28" i="1"/>
  <c r="P18" i="1"/>
  <c r="Q18" i="1" s="1"/>
  <c r="R18" i="1"/>
  <c r="V18" i="1" s="1"/>
  <c r="M12" i="1"/>
  <c r="N15" i="1"/>
  <c r="E18" i="3"/>
  <c r="P20" i="1" l="1"/>
  <c r="Q20" i="1" s="1"/>
  <c r="P14" i="1"/>
  <c r="Q14" i="1" s="1"/>
  <c r="P12" i="1"/>
  <c r="P27" i="1"/>
  <c r="Q27" i="1" s="1"/>
  <c r="P15" i="1"/>
  <c r="Q15" i="1" s="1"/>
  <c r="P19" i="1"/>
  <c r="Q19" i="1" s="1"/>
  <c r="R19" i="1"/>
  <c r="V19" i="1" s="1"/>
  <c r="P26" i="1"/>
  <c r="Q26" i="1" s="1"/>
  <c r="N25" i="1"/>
  <c r="R23" i="1"/>
  <c r="V23" i="1" s="1"/>
  <c r="P23" i="1"/>
  <c r="Q23" i="1" s="1"/>
  <c r="M29" i="1"/>
  <c r="P28" i="1"/>
  <c r="Q28" i="1" s="1"/>
  <c r="L29" i="1"/>
  <c r="P17" i="1"/>
  <c r="Q17" i="1" s="1"/>
  <c r="R13" i="1"/>
  <c r="V13" i="1" s="1"/>
  <c r="N16" i="1"/>
  <c r="N24" i="1"/>
  <c r="N22" i="1"/>
  <c r="R17" i="1" l="1"/>
  <c r="V17" i="1" s="1"/>
  <c r="W17" i="1" s="1"/>
  <c r="R28" i="1"/>
  <c r="V28" i="1" s="1"/>
  <c r="W28" i="1" s="1"/>
  <c r="W29" i="1" s="1"/>
  <c r="R22" i="1"/>
  <c r="V22" i="1" s="1"/>
  <c r="P22" i="1"/>
  <c r="Q22" i="1" s="1"/>
  <c r="P25" i="1"/>
  <c r="Q25" i="1" s="1"/>
  <c r="R27" i="1"/>
  <c r="V27" i="1" s="1"/>
  <c r="P24" i="1"/>
  <c r="Q24" i="1" s="1"/>
  <c r="Q12" i="1"/>
  <c r="R14" i="1"/>
  <c r="V14" i="1" s="1"/>
  <c r="P16" i="1"/>
  <c r="Q16" i="1" s="1"/>
  <c r="R26" i="1"/>
  <c r="V26" i="1" s="1"/>
  <c r="R15" i="1"/>
  <c r="V15" i="1" s="1"/>
  <c r="N29" i="1"/>
  <c r="R20" i="1"/>
  <c r="V20" i="1" s="1"/>
  <c r="P29" i="1" l="1"/>
  <c r="R16" i="1"/>
  <c r="V16" i="1" s="1"/>
  <c r="R25" i="1"/>
  <c r="V25" i="1" s="1"/>
  <c r="R24" i="1"/>
  <c r="V24" i="1" s="1"/>
  <c r="Q29" i="1"/>
  <c r="R12" i="1"/>
  <c r="R29" i="1" l="1"/>
  <c r="V12" i="1"/>
  <c r="V29" i="1" s="1"/>
</calcChain>
</file>

<file path=xl/sharedStrings.xml><?xml version="1.0" encoding="utf-8"?>
<sst xmlns="http://schemas.openxmlformats.org/spreadsheetml/2006/main" count="113" uniqueCount="82">
  <si>
    <t>Расчеты (обоснования) к плану финансово-хозяйственной деятельности государственного (муниципального) учреждения</t>
  </si>
  <si>
    <t>Код видов расходов</t>
  </si>
  <si>
    <t xml:space="preserve"> </t>
  </si>
  <si>
    <t>Источник финансового обеспечения</t>
  </si>
  <si>
    <t>Субсидия на выполнение государственного задания</t>
  </si>
  <si>
    <t>1.1. Расчеты (обоснования) расходов на оплату груда</t>
  </si>
  <si>
    <t>№</t>
  </si>
  <si>
    <t>п/п</t>
  </si>
  <si>
    <t>Главный бухгалтер</t>
  </si>
  <si>
    <t>Итого:</t>
  </si>
  <si>
    <t>x</t>
  </si>
  <si>
    <t>1.1.</t>
  </si>
  <si>
    <t>2.1.</t>
  </si>
  <si>
    <t>2.3.</t>
  </si>
  <si>
    <t>1. Расчеты (обоснования) выплат персоналу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</si>
  <si>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</si>
  <si>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</si>
  <si>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</si>
  <si>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РФ, всего</t>
  </si>
  <si>
    <t>Страховые взносы в Фонд социального страхования РФ, всего</t>
  </si>
  <si>
    <t>Страховые взносы в Федеральный фонд обязательного медицинского страхования, всего (по ставке 5,1%)</t>
  </si>
  <si>
    <t>Главный специалист по АХО</t>
  </si>
  <si>
    <t>Ведущий библиотекарь</t>
  </si>
  <si>
    <t>Ведущий инженер</t>
  </si>
  <si>
    <t>Ведущий специалист ГО</t>
  </si>
  <si>
    <t>Уборщица</t>
  </si>
  <si>
    <t xml:space="preserve"> в том числе:</t>
  </si>
  <si>
    <t xml:space="preserve"> по ставке 22,0%</t>
  </si>
  <si>
    <t xml:space="preserve"> обязательное социальное страхование на случай временной нетрудоспособности и в связи с материнством по ставке 2,9%</t>
  </si>
  <si>
    <t xml:space="preserve"> обязательное социальное страхование от несчастных случаев на производстве и профессиональных заболеваний по ставке 0,2%</t>
  </si>
  <si>
    <t>1.3.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</si>
  <si>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Структурное подразделение</t>
  </si>
  <si>
    <t>должность (специальность, профессия)</t>
  </si>
  <si>
    <t>количество штатных едениц</t>
  </si>
  <si>
    <t>тарифная ставка (оклад), руб.</t>
  </si>
  <si>
    <t>надбавки,     руб.</t>
  </si>
  <si>
    <t>всего в месяц,    руб.</t>
  </si>
  <si>
    <t>надбавки, руб.</t>
  </si>
  <si>
    <t>Всего в м-ц, руб.</t>
  </si>
  <si>
    <t>выслуга</t>
  </si>
  <si>
    <t>за качественные показатели деятельности</t>
  </si>
  <si>
    <t>р/к</t>
  </si>
  <si>
    <t>РЗО</t>
  </si>
  <si>
    <t>допл. по       п. 1.5 положения</t>
  </si>
  <si>
    <t>наименование</t>
  </si>
  <si>
    <t>%</t>
  </si>
  <si>
    <t>сумма</t>
  </si>
  <si>
    <t>Всего в м-ц , руб.</t>
  </si>
  <si>
    <t>Руководство</t>
  </si>
  <si>
    <t>Директор УМЦ</t>
  </si>
  <si>
    <t>Зам по учебно-методической работе</t>
  </si>
  <si>
    <t>Ведущий специалист ГО по кадровой работе, юр. вопросам и охране труда</t>
  </si>
  <si>
    <t>157</t>
  </si>
  <si>
    <t>134</t>
  </si>
  <si>
    <t>Отдел обучения руководящего состава и населения</t>
  </si>
  <si>
    <t>Преподаватель с выслугой более 20 лет</t>
  </si>
  <si>
    <t>139</t>
  </si>
  <si>
    <t>Преподаватель с выслугой более 5 лет</t>
  </si>
  <si>
    <t>Группа обеспечения учебного процесса</t>
  </si>
  <si>
    <t>96</t>
  </si>
  <si>
    <t>Ведущий специалист ГО (по информационным технологиям)</t>
  </si>
  <si>
    <t>95</t>
  </si>
  <si>
    <t>20</t>
  </si>
  <si>
    <t>106</t>
  </si>
  <si>
    <t>Методист 1 категории - начальник группы</t>
  </si>
  <si>
    <t>Методист 1 категории</t>
  </si>
  <si>
    <t>Учебное отделение</t>
  </si>
  <si>
    <t>Начальник учебного отделения</t>
  </si>
  <si>
    <t>120</t>
  </si>
  <si>
    <t>Бухгалтерия</t>
  </si>
  <si>
    <t>166</t>
  </si>
  <si>
    <t>Бухгалтер 1 категории</t>
  </si>
  <si>
    <t>98</t>
  </si>
  <si>
    <t>Административно-хозяйственное отделение</t>
  </si>
  <si>
    <t>Водитель спец. автомобиля</t>
  </si>
  <si>
    <t>118</t>
  </si>
  <si>
    <t>Итого</t>
  </si>
  <si>
    <t>ФОТ на год</t>
  </si>
  <si>
    <t>Повышение ФОТ на  % инф</t>
  </si>
  <si>
    <t>Повышение ФОТ на  %</t>
  </si>
  <si>
    <t>1. Расчеты (обоснования) выплат персоналу (строка 211)</t>
  </si>
  <si>
    <t>72,6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</si>
</sst>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Georg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4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3" fontId="0" fillId="0" borderId="0" xfId="1" applyFont="1"/>
    <xf numFmtId="43" fontId="2" fillId="0" borderId="8" xfId="1" applyFont="1" applyBorder="1" applyAlignment="1">
      <alignment vertical="center" wrapText="1"/>
    </xf>
    <xf numFmtId="43" fontId="2" fillId="0" borderId="0" xfId="1" applyFont="1" applyAlignment="1">
      <alignment horizontal="left" vertical="center" wrapText="1" indent="1"/>
    </xf>
    <xf numFmtId="43" fontId="2" fillId="0" borderId="4" xfId="1" applyFont="1" applyBorder="1" applyAlignment="1">
      <alignment horizontal="left" vertical="center" wrapText="1" indent="1"/>
    </xf>
    <xf numFmtId="43" fontId="2" fillId="0" borderId="16" xfId="1" applyFont="1" applyBorder="1" applyAlignment="1">
      <alignment horizontal="left" vertical="center" wrapText="1" indent="1"/>
    </xf>
    <xf numFmtId="43" fontId="2" fillId="0" borderId="9" xfId="0" applyNumberFormat="1" applyFont="1" applyBorder="1" applyAlignment="1">
      <alignment horizontal="left" vertical="center" wrapText="1" indent="1"/>
    </xf>
    <xf numFmtId="0" fontId="2" fillId="0" borderId="0" xfId="0" applyFont="1"/>
    <xf numFmtId="0" fontId="2" fillId="0" borderId="0" xfId="0" applyFont="1" applyAlignment="1">
      <alignment horizontal="left" vertical="center" wrapText="1" inden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0" fontId="7" fillId="0" borderId="33" xfId="0" applyFont="1" applyFill="1" applyBorder="1" applyAlignment="1">
      <alignment horizontal="center" wrapText="1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0" fillId="0" borderId="22" xfId="0" applyBorder="1"/>
    <xf numFmtId="4" fontId="12" fillId="0" borderId="40" xfId="0" applyNumberFormat="1" applyFont="1" applyBorder="1"/>
    <xf numFmtId="49" fontId="12" fillId="0" borderId="40" xfId="1" applyNumberFormat="1" applyFont="1" applyBorder="1" applyAlignment="1">
      <alignment horizontal="center"/>
    </xf>
    <xf numFmtId="49" fontId="12" fillId="0" borderId="40" xfId="0" applyNumberFormat="1" applyFont="1" applyBorder="1" applyAlignment="1">
      <alignment horizontal="center"/>
    </xf>
    <xf numFmtId="4" fontId="12" fillId="0" borderId="41" xfId="0" applyNumberFormat="1" applyFont="1" applyBorder="1"/>
    <xf numFmtId="0" fontId="0" fillId="0" borderId="29" xfId="0" applyBorder="1" applyAlignment="1">
      <alignment horizontal="center"/>
    </xf>
    <xf numFmtId="2" fontId="0" fillId="0" borderId="29" xfId="0" applyNumberFormat="1" applyBorder="1"/>
    <xf numFmtId="4" fontId="0" fillId="0" borderId="31" xfId="0" applyNumberFormat="1" applyBorder="1"/>
    <xf numFmtId="4" fontId="12" fillId="0" borderId="22" xfId="0" applyNumberFormat="1" applyFont="1" applyBorder="1"/>
    <xf numFmtId="4" fontId="0" fillId="0" borderId="22" xfId="0" applyNumberFormat="1" applyBorder="1"/>
    <xf numFmtId="0" fontId="12" fillId="0" borderId="22" xfId="0" applyFont="1" applyBorder="1" applyAlignment="1">
      <alignment horizontal="left" wrapText="1"/>
    </xf>
    <xf numFmtId="0" fontId="12" fillId="0" borderId="22" xfId="0" applyFont="1" applyBorder="1" applyAlignment="1">
      <alignment horizontal="center"/>
    </xf>
    <xf numFmtId="0" fontId="13" fillId="0" borderId="22" xfId="0" applyFont="1" applyBorder="1" applyAlignment="1">
      <alignment horizontal="left" wrapText="1"/>
    </xf>
    <xf numFmtId="49" fontId="13" fillId="0" borderId="40" xfId="0" applyNumberFormat="1" applyFont="1" applyBorder="1" applyAlignment="1">
      <alignment horizontal="center"/>
    </xf>
    <xf numFmtId="2" fontId="0" fillId="0" borderId="22" xfId="0" applyNumberFormat="1" applyBorder="1"/>
    <xf numFmtId="49" fontId="13" fillId="0" borderId="40" xfId="1" applyNumberFormat="1" applyFont="1" applyBorder="1" applyAlignment="1">
      <alignment horizontal="center"/>
    </xf>
    <xf numFmtId="0" fontId="14" fillId="0" borderId="37" xfId="0" applyFont="1" applyFill="1" applyBorder="1" applyAlignment="1">
      <alignment horizontal="right" wrapText="1"/>
    </xf>
    <xf numFmtId="0" fontId="14" fillId="0" borderId="38" xfId="0" applyFont="1" applyBorder="1" applyAlignment="1">
      <alignment horizontal="center"/>
    </xf>
    <xf numFmtId="4" fontId="14" fillId="0" borderId="38" xfId="0" applyNumberFormat="1" applyFont="1" applyBorder="1"/>
    <xf numFmtId="49" fontId="14" fillId="0" borderId="38" xfId="0" applyNumberFormat="1" applyFont="1" applyBorder="1" applyAlignment="1">
      <alignment horizontal="center"/>
    </xf>
    <xf numFmtId="4" fontId="14" fillId="0" borderId="39" xfId="0" applyNumberFormat="1" applyFont="1" applyBorder="1"/>
    <xf numFmtId="0" fontId="12" fillId="0" borderId="29" xfId="0" applyFont="1" applyBorder="1" applyAlignment="1">
      <alignment horizontal="left"/>
    </xf>
    <xf numFmtId="0" fontId="12" fillId="0" borderId="29" xfId="0" applyFont="1" applyBorder="1" applyAlignment="1">
      <alignment horizontal="center"/>
    </xf>
    <xf numFmtId="4" fontId="12" fillId="0" borderId="29" xfId="0" applyNumberFormat="1" applyFont="1" applyBorder="1"/>
    <xf numFmtId="49" fontId="12" fillId="0" borderId="29" xfId="1" applyNumberFormat="1" applyFont="1" applyBorder="1" applyAlignment="1">
      <alignment horizontal="center"/>
    </xf>
    <xf numFmtId="49" fontId="12" fillId="0" borderId="29" xfId="0" applyNumberFormat="1" applyFont="1" applyBorder="1" applyAlignment="1">
      <alignment horizontal="center"/>
    </xf>
    <xf numFmtId="4" fontId="12" fillId="0" borderId="31" xfId="0" applyNumberFormat="1" applyFont="1" applyBorder="1"/>
    <xf numFmtId="0" fontId="9" fillId="0" borderId="29" xfId="0" applyFont="1" applyBorder="1" applyAlignment="1">
      <alignment horizontal="center"/>
    </xf>
    <xf numFmtId="4" fontId="0" fillId="0" borderId="29" xfId="0" applyNumberFormat="1" applyBorder="1"/>
    <xf numFmtId="0" fontId="0" fillId="0" borderId="29" xfId="0" applyBorder="1"/>
    <xf numFmtId="0" fontId="15" fillId="0" borderId="35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2" fillId="0" borderId="32" xfId="0" applyFont="1" applyBorder="1" applyAlignment="1">
      <alignment horizontal="left" wrapText="1"/>
    </xf>
    <xf numFmtId="0" fontId="12" fillId="0" borderId="32" xfId="0" applyFont="1" applyBorder="1" applyAlignment="1">
      <alignment horizontal="center"/>
    </xf>
    <xf numFmtId="4" fontId="12" fillId="0" borderId="32" xfId="0" applyNumberFormat="1" applyFont="1" applyBorder="1"/>
    <xf numFmtId="49" fontId="12" fillId="0" borderId="18" xfId="1" applyNumberFormat="1" applyFont="1" applyBorder="1" applyAlignment="1">
      <alignment horizontal="center"/>
    </xf>
    <xf numFmtId="4" fontId="12" fillId="0" borderId="18" xfId="0" applyNumberFormat="1" applyFont="1" applyBorder="1"/>
    <xf numFmtId="49" fontId="13" fillId="0" borderId="18" xfId="0" applyNumberFormat="1" applyFont="1" applyBorder="1" applyAlignment="1">
      <alignment horizontal="center"/>
    </xf>
    <xf numFmtId="4" fontId="12" fillId="0" borderId="19" xfId="0" applyNumberFormat="1" applyFont="1" applyBorder="1"/>
    <xf numFmtId="0" fontId="0" fillId="0" borderId="25" xfId="0" applyBorder="1" applyAlignment="1">
      <alignment horizontal="center"/>
    </xf>
    <xf numFmtId="2" fontId="0" fillId="0" borderId="25" xfId="0" applyNumberFormat="1" applyBorder="1"/>
    <xf numFmtId="4" fontId="0" fillId="0" borderId="27" xfId="0" applyNumberFormat="1" applyBorder="1"/>
    <xf numFmtId="4" fontId="0" fillId="0" borderId="32" xfId="0" applyNumberFormat="1" applyBorder="1"/>
    <xf numFmtId="0" fontId="0" fillId="0" borderId="38" xfId="0" applyBorder="1"/>
    <xf numFmtId="2" fontId="0" fillId="0" borderId="38" xfId="0" applyNumberFormat="1" applyBorder="1"/>
    <xf numFmtId="43" fontId="14" fillId="0" borderId="38" xfId="1" applyFont="1" applyBorder="1"/>
    <xf numFmtId="4" fontId="14" fillId="0" borderId="50" xfId="0" applyNumberFormat="1" applyFont="1" applyBorder="1"/>
    <xf numFmtId="0" fontId="0" fillId="0" borderId="47" xfId="0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7" fillId="0" borderId="18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40" xfId="0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30" xfId="0" applyFont="1" applyBorder="1" applyAlignment="1">
      <alignment horizontal="center" wrapText="1"/>
    </xf>
    <xf numFmtId="0" fontId="8" fillId="0" borderId="22" xfId="0" applyFont="1" applyBorder="1" applyAlignment="1">
      <alignment horizontal="center"/>
    </xf>
    <xf numFmtId="0" fontId="2" fillId="0" borderId="12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 indent="1"/>
    </xf>
    <xf numFmtId="0" fontId="2" fillId="0" borderId="6" xfId="0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3" fontId="14" fillId="0" borderId="50" xfId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BreakPreview" zoomScale="60" zoomScaleNormal="100" workbookViewId="0">
      <selection activeCell="S38" sqref="S38"/>
    </sheetView>
  </sheetViews>
  <sheetFormatPr defaultRowHeight="15" x14ac:dyDescent="0.25"/>
  <cols>
    <col min="1" max="1" width="17.28515625" customWidth="1"/>
    <col min="2" max="2" width="27" customWidth="1"/>
    <col min="3" max="3" width="9" customWidth="1"/>
    <col min="4" max="4" width="11.85546875" customWidth="1"/>
    <col min="5" max="5" width="8.140625" customWidth="1"/>
    <col min="6" max="6" width="13.85546875" customWidth="1"/>
    <col min="7" max="7" width="8.5703125" customWidth="1"/>
    <col min="8" max="8" width="11.85546875" customWidth="1"/>
    <col min="9" max="9" width="10.7109375" customWidth="1"/>
    <col min="10" max="10" width="12.85546875" customWidth="1"/>
    <col min="11" max="11" width="7.28515625" customWidth="1"/>
    <col min="12" max="12" width="11" customWidth="1"/>
    <col min="14" max="14" width="13.85546875" customWidth="1"/>
    <col min="15" max="15" width="7" customWidth="1"/>
    <col min="16" max="16" width="11.28515625" customWidth="1"/>
    <col min="18" max="18" width="14.42578125" customWidth="1"/>
    <col min="22" max="22" width="12" customWidth="1"/>
    <col min="23" max="23" width="16.7109375" customWidth="1"/>
  </cols>
  <sheetData>
    <row r="1" spans="1:23" ht="30.75" customHeight="1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</row>
    <row r="2" spans="1:23" ht="29.25" customHeight="1" x14ac:dyDescent="0.25">
      <c r="A2" s="89" t="s">
        <v>80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</row>
    <row r="3" spans="1:23" ht="15.75" x14ac:dyDescent="0.25">
      <c r="A3" s="18"/>
      <c r="B3" s="18"/>
      <c r="C3" s="18"/>
      <c r="D3" s="17"/>
      <c r="E3" s="17"/>
      <c r="F3" s="17"/>
      <c r="G3" s="17"/>
      <c r="H3" s="17"/>
      <c r="I3" s="17"/>
      <c r="J3" s="17"/>
    </row>
    <row r="4" spans="1:23" ht="18.75" customHeight="1" thickBot="1" x14ac:dyDescent="0.3">
      <c r="A4" s="87" t="s">
        <v>1</v>
      </c>
      <c r="B4" s="87"/>
      <c r="C4" s="5">
        <v>111</v>
      </c>
      <c r="D4" s="17"/>
      <c r="E4" s="17"/>
      <c r="F4" s="17"/>
      <c r="G4" s="17"/>
      <c r="H4" s="17"/>
      <c r="I4" s="17"/>
      <c r="J4" s="17"/>
    </row>
    <row r="5" spans="1:23" ht="15.75" customHeight="1" x14ac:dyDescent="0.25">
      <c r="A5" s="18" t="s">
        <v>2</v>
      </c>
      <c r="B5" s="94" t="s">
        <v>2</v>
      </c>
      <c r="C5" s="95"/>
      <c r="D5" s="17"/>
      <c r="E5" s="17"/>
      <c r="F5" s="17"/>
      <c r="G5" s="17"/>
      <c r="H5" s="17"/>
      <c r="I5" s="17"/>
      <c r="J5" s="17"/>
    </row>
    <row r="6" spans="1:23" ht="31.5" customHeight="1" x14ac:dyDescent="0.25">
      <c r="A6" s="96" t="s">
        <v>3</v>
      </c>
      <c r="B6" s="96"/>
      <c r="C6" s="86" t="s">
        <v>4</v>
      </c>
      <c r="D6" s="86"/>
      <c r="E6" s="86"/>
      <c r="F6" s="86"/>
      <c r="G6" s="86"/>
      <c r="H6" s="86"/>
      <c r="I6" s="86"/>
      <c r="J6" s="86"/>
      <c r="K6" s="86"/>
      <c r="L6" s="11"/>
    </row>
    <row r="7" spans="1:23" ht="16.5" thickBot="1" x14ac:dyDescent="0.3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</row>
    <row r="8" spans="1:23" ht="15" customHeight="1" x14ac:dyDescent="0.25">
      <c r="A8" s="100" t="s">
        <v>31</v>
      </c>
      <c r="B8" s="97" t="s">
        <v>32</v>
      </c>
      <c r="C8" s="97" t="s">
        <v>33</v>
      </c>
      <c r="D8" s="97" t="s">
        <v>34</v>
      </c>
      <c r="E8" s="102" t="s">
        <v>35</v>
      </c>
      <c r="F8" s="103"/>
      <c r="G8" s="103"/>
      <c r="H8" s="103"/>
      <c r="I8" s="104"/>
      <c r="J8" s="102" t="s">
        <v>36</v>
      </c>
      <c r="K8" s="107" t="s">
        <v>79</v>
      </c>
      <c r="L8" s="107"/>
      <c r="M8" s="107"/>
      <c r="N8" s="108"/>
      <c r="O8" s="111" t="s">
        <v>78</v>
      </c>
      <c r="P8" s="107"/>
      <c r="Q8" s="107"/>
      <c r="R8" s="108"/>
      <c r="S8" s="112" t="s">
        <v>37</v>
      </c>
      <c r="T8" s="113"/>
      <c r="U8" s="114"/>
      <c r="V8" s="115" t="s">
        <v>38</v>
      </c>
      <c r="W8" s="81" t="s">
        <v>77</v>
      </c>
    </row>
    <row r="9" spans="1:23" ht="15" customHeight="1" x14ac:dyDescent="0.25">
      <c r="A9" s="101"/>
      <c r="B9" s="98"/>
      <c r="C9" s="98"/>
      <c r="D9" s="98"/>
      <c r="E9" s="117" t="s">
        <v>39</v>
      </c>
      <c r="F9" s="117"/>
      <c r="G9" s="117" t="s">
        <v>40</v>
      </c>
      <c r="H9" s="117"/>
      <c r="I9" s="118" t="s">
        <v>41</v>
      </c>
      <c r="J9" s="105"/>
      <c r="K9" s="109"/>
      <c r="L9" s="109"/>
      <c r="M9" s="109"/>
      <c r="N9" s="110"/>
      <c r="O9" s="109"/>
      <c r="P9" s="109"/>
      <c r="Q9" s="109"/>
      <c r="R9" s="110"/>
      <c r="S9" s="117" t="s">
        <v>42</v>
      </c>
      <c r="T9" s="117" t="s">
        <v>43</v>
      </c>
      <c r="U9" s="120" t="s">
        <v>41</v>
      </c>
      <c r="V9" s="116"/>
      <c r="W9" s="82"/>
    </row>
    <row r="10" spans="1:23" ht="24" thickBot="1" x14ac:dyDescent="0.3">
      <c r="A10" s="24" t="s">
        <v>44</v>
      </c>
      <c r="B10" s="99"/>
      <c r="C10" s="99"/>
      <c r="D10" s="99"/>
      <c r="E10" s="25" t="s">
        <v>45</v>
      </c>
      <c r="F10" s="25" t="s">
        <v>46</v>
      </c>
      <c r="G10" s="25" t="s">
        <v>45</v>
      </c>
      <c r="H10" s="25" t="s">
        <v>46</v>
      </c>
      <c r="I10" s="119"/>
      <c r="J10" s="106"/>
      <c r="K10" s="26" t="s">
        <v>45</v>
      </c>
      <c r="L10" s="26" t="s">
        <v>46</v>
      </c>
      <c r="M10" s="26" t="s">
        <v>41</v>
      </c>
      <c r="N10" s="27" t="s">
        <v>47</v>
      </c>
      <c r="O10" s="26" t="s">
        <v>45</v>
      </c>
      <c r="P10" s="26" t="s">
        <v>46</v>
      </c>
      <c r="Q10" s="26" t="s">
        <v>41</v>
      </c>
      <c r="R10" s="27" t="s">
        <v>47</v>
      </c>
      <c r="S10" s="117"/>
      <c r="T10" s="117"/>
      <c r="U10" s="109"/>
      <c r="V10" s="116"/>
      <c r="W10" s="82"/>
    </row>
    <row r="11" spans="1:23" ht="15.75" thickBot="1" x14ac:dyDescent="0.3">
      <c r="A11" s="28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30">
        <v>10</v>
      </c>
      <c r="K11" s="31">
        <v>11</v>
      </c>
      <c r="L11" s="32">
        <v>12</v>
      </c>
      <c r="M11" s="32">
        <v>13</v>
      </c>
      <c r="N11" s="33">
        <v>14</v>
      </c>
      <c r="O11" s="31">
        <v>15</v>
      </c>
      <c r="P11" s="32">
        <v>16</v>
      </c>
      <c r="Q11" s="32">
        <v>17</v>
      </c>
      <c r="R11" s="33">
        <v>18</v>
      </c>
      <c r="S11" s="29">
        <v>19</v>
      </c>
      <c r="T11" s="29">
        <v>20</v>
      </c>
      <c r="U11" s="64">
        <v>21</v>
      </c>
      <c r="V11" s="64">
        <v>22</v>
      </c>
      <c r="W11" s="65">
        <v>23</v>
      </c>
    </row>
    <row r="12" spans="1:23" ht="15.75" thickBot="1" x14ac:dyDescent="0.3">
      <c r="A12" s="90" t="s">
        <v>48</v>
      </c>
      <c r="B12" s="55" t="s">
        <v>49</v>
      </c>
      <c r="C12" s="56">
        <v>1</v>
      </c>
      <c r="D12" s="57">
        <v>10569.56</v>
      </c>
      <c r="E12" s="58">
        <v>40</v>
      </c>
      <c r="F12" s="57">
        <f>D12*E12%</f>
        <v>4227.8239999999996</v>
      </c>
      <c r="G12" s="59">
        <v>240</v>
      </c>
      <c r="H12" s="57">
        <f t="shared" ref="H12:H28" si="0">D12*G12%</f>
        <v>25366.944</v>
      </c>
      <c r="I12" s="57">
        <f>(D12+F12+H12+S12)*25%</f>
        <v>10041.081999999999</v>
      </c>
      <c r="J12" s="60">
        <f>D12+F12+H12+S12+I12</f>
        <v>50205.409999999989</v>
      </c>
      <c r="K12" s="39">
        <v>4</v>
      </c>
      <c r="L12" s="40">
        <f>SUM(J12*K12%)</f>
        <v>2008.2163999999996</v>
      </c>
      <c r="M12" s="40">
        <f>SUM(L12*25%)</f>
        <v>502.05409999999989</v>
      </c>
      <c r="N12" s="41">
        <f>SUM(J12+L12+M12)</f>
        <v>52715.680499999988</v>
      </c>
      <c r="O12" s="39">
        <v>1.5</v>
      </c>
      <c r="P12" s="40">
        <f t="shared" ref="P12:P25" si="1">SUM(N12*O12%)</f>
        <v>790.73520749999977</v>
      </c>
      <c r="Q12" s="40">
        <f>SUM(P12*25%)</f>
        <v>197.68380187499994</v>
      </c>
      <c r="R12" s="41">
        <f t="shared" ref="R12:R25" si="2">SUM(N12+P12+Q12)</f>
        <v>53704.099509374988</v>
      </c>
      <c r="S12" s="57"/>
      <c r="T12" s="57"/>
      <c r="U12" s="61"/>
      <c r="V12" s="62">
        <f t="shared" ref="V12:V25" si="3">SUM(R12+S12+T12+U12)</f>
        <v>53704.099509374988</v>
      </c>
      <c r="W12" s="63">
        <f>SUM(V12*12)</f>
        <v>644449.19411249983</v>
      </c>
    </row>
    <row r="13" spans="1:23" ht="30.75" customHeight="1" thickBot="1" x14ac:dyDescent="0.3">
      <c r="A13" s="90"/>
      <c r="B13" s="44" t="s">
        <v>50</v>
      </c>
      <c r="C13" s="45">
        <v>1</v>
      </c>
      <c r="D13" s="42">
        <v>9512.6</v>
      </c>
      <c r="E13" s="36">
        <v>40</v>
      </c>
      <c r="F13" s="35">
        <f>D13*E13%</f>
        <v>3805.0400000000004</v>
      </c>
      <c r="G13" s="37">
        <v>203</v>
      </c>
      <c r="H13" s="35">
        <f t="shared" si="0"/>
        <v>19310.577999999998</v>
      </c>
      <c r="I13" s="35">
        <f>(D13+F13+H13+S13)*25%</f>
        <v>8157.0545000000002</v>
      </c>
      <c r="J13" s="38">
        <f>D13+F13+H13+S13+I13</f>
        <v>40785.272499999999</v>
      </c>
      <c r="K13" s="39">
        <v>4</v>
      </c>
      <c r="L13" s="40">
        <f t="shared" ref="L13:L28" si="4">SUM(J13*K13%)</f>
        <v>1631.4109000000001</v>
      </c>
      <c r="M13" s="40">
        <f t="shared" ref="M13:M28" si="5">SUM(L13*25%)</f>
        <v>407.85272500000002</v>
      </c>
      <c r="N13" s="41">
        <f t="shared" ref="N13:N27" si="6">SUM(J13+L13+M13)</f>
        <v>42824.536124999999</v>
      </c>
      <c r="O13" s="39">
        <v>1.5</v>
      </c>
      <c r="P13" s="40">
        <f t="shared" si="1"/>
        <v>642.3680418749999</v>
      </c>
      <c r="Q13" s="40">
        <f t="shared" ref="Q13:Q28" si="7">SUM(P13*25%)</f>
        <v>160.59201046874998</v>
      </c>
      <c r="R13" s="41">
        <f t="shared" si="2"/>
        <v>43627.496177343746</v>
      </c>
      <c r="S13" s="42"/>
      <c r="T13" s="42"/>
      <c r="U13" s="42"/>
      <c r="V13" s="43">
        <f t="shared" si="3"/>
        <v>43627.496177343746</v>
      </c>
      <c r="W13" s="63">
        <f t="shared" ref="W13:W28" si="8">SUM(V13*12)</f>
        <v>523529.95412812498</v>
      </c>
    </row>
    <row r="14" spans="1:23" ht="37.5" thickBot="1" x14ac:dyDescent="0.3">
      <c r="A14" s="90"/>
      <c r="B14" s="46" t="s">
        <v>51</v>
      </c>
      <c r="C14" s="45">
        <v>1</v>
      </c>
      <c r="D14" s="42">
        <v>8093.26</v>
      </c>
      <c r="E14" s="36">
        <v>40</v>
      </c>
      <c r="F14" s="35">
        <f>D14*E14%</f>
        <v>3237.3040000000001</v>
      </c>
      <c r="G14" s="47" t="s">
        <v>52</v>
      </c>
      <c r="H14" s="35">
        <f t="shared" si="0"/>
        <v>12706.4182</v>
      </c>
      <c r="I14" s="35">
        <f>(D14+F14+H14+S14+T15)*25%</f>
        <v>7020.9030499999999</v>
      </c>
      <c r="J14" s="38">
        <f>D14+F14+H14+S14+T15+I14</f>
        <v>35104.515249999997</v>
      </c>
      <c r="K14" s="39">
        <v>4</v>
      </c>
      <c r="L14" s="40">
        <f t="shared" si="4"/>
        <v>1404.1806099999999</v>
      </c>
      <c r="M14" s="40">
        <f t="shared" si="5"/>
        <v>351.04515249999997</v>
      </c>
      <c r="N14" s="41">
        <f t="shared" si="6"/>
        <v>36859.741012500002</v>
      </c>
      <c r="O14" s="39">
        <v>1.5</v>
      </c>
      <c r="P14" s="40">
        <f t="shared" si="1"/>
        <v>552.89611518750007</v>
      </c>
      <c r="Q14" s="40">
        <f t="shared" si="7"/>
        <v>138.22402879687502</v>
      </c>
      <c r="R14" s="41">
        <f t="shared" si="2"/>
        <v>37550.861156484374</v>
      </c>
      <c r="S14" s="42"/>
      <c r="T14" s="42"/>
      <c r="U14" s="42"/>
      <c r="V14" s="43">
        <f t="shared" si="3"/>
        <v>37550.861156484374</v>
      </c>
      <c r="W14" s="63">
        <f t="shared" si="8"/>
        <v>450610.33387781249</v>
      </c>
    </row>
    <row r="15" spans="1:23" ht="15.75" thickBot="1" x14ac:dyDescent="0.3">
      <c r="A15" s="91"/>
      <c r="B15" s="44" t="s">
        <v>21</v>
      </c>
      <c r="C15" s="45">
        <v>1</v>
      </c>
      <c r="D15" s="42">
        <v>9089.81</v>
      </c>
      <c r="E15" s="36">
        <v>40</v>
      </c>
      <c r="F15" s="35">
        <f>D15*E15%</f>
        <v>3635.924</v>
      </c>
      <c r="G15" s="47" t="s">
        <v>53</v>
      </c>
      <c r="H15" s="35">
        <f t="shared" si="0"/>
        <v>12180.3454</v>
      </c>
      <c r="I15" s="35">
        <f>(D15+F15+H15+S15)*25%</f>
        <v>6226.5198500000006</v>
      </c>
      <c r="J15" s="38">
        <f>D15+F15+H15+I15</f>
        <v>31132.599250000003</v>
      </c>
      <c r="K15" s="39">
        <v>4</v>
      </c>
      <c r="L15" s="40">
        <f t="shared" si="4"/>
        <v>1245.3039700000002</v>
      </c>
      <c r="M15" s="40">
        <f t="shared" si="5"/>
        <v>311.32599250000004</v>
      </c>
      <c r="N15" s="41">
        <f t="shared" si="6"/>
        <v>32689.229212500002</v>
      </c>
      <c r="O15" s="39">
        <v>1.5</v>
      </c>
      <c r="P15" s="40">
        <f t="shared" si="1"/>
        <v>490.3384381875</v>
      </c>
      <c r="Q15" s="40">
        <f t="shared" si="7"/>
        <v>122.584609546875</v>
      </c>
      <c r="R15" s="41">
        <f t="shared" si="2"/>
        <v>33302.152260234376</v>
      </c>
      <c r="S15" s="42"/>
      <c r="T15" s="42">
        <f>D14*50%</f>
        <v>4046.63</v>
      </c>
      <c r="U15" s="48">
        <f>SUM(S15+T15)*25%</f>
        <v>1011.6575</v>
      </c>
      <c r="V15" s="43">
        <f t="shared" si="3"/>
        <v>38360.439760234374</v>
      </c>
      <c r="W15" s="63">
        <f t="shared" si="8"/>
        <v>460325.27712281246</v>
      </c>
    </row>
    <row r="16" spans="1:23" ht="35.25" customHeight="1" thickBot="1" x14ac:dyDescent="0.3">
      <c r="A16" s="83" t="s">
        <v>54</v>
      </c>
      <c r="B16" s="44" t="s">
        <v>55</v>
      </c>
      <c r="C16" s="45">
        <v>11</v>
      </c>
      <c r="D16" s="42">
        <v>93613.08</v>
      </c>
      <c r="E16" s="36"/>
      <c r="F16" s="35"/>
      <c r="G16" s="47" t="s">
        <v>56</v>
      </c>
      <c r="H16" s="35">
        <f>D16*G16%</f>
        <v>130122.18119999999</v>
      </c>
      <c r="I16" s="35">
        <f>(D16+F16+H16+S16)*25%</f>
        <v>55933.815300000002</v>
      </c>
      <c r="J16" s="38">
        <f>D16+F16+H16+S16+I16</f>
        <v>279669.07650000002</v>
      </c>
      <c r="K16" s="39">
        <v>4</v>
      </c>
      <c r="L16" s="40">
        <f t="shared" si="4"/>
        <v>11186.763060000001</v>
      </c>
      <c r="M16" s="40">
        <f t="shared" si="5"/>
        <v>2796.6907650000003</v>
      </c>
      <c r="N16" s="41">
        <f t="shared" si="6"/>
        <v>293652.53032500006</v>
      </c>
      <c r="O16" s="39">
        <v>1.5</v>
      </c>
      <c r="P16" s="40">
        <f t="shared" si="1"/>
        <v>4404.7879548750007</v>
      </c>
      <c r="Q16" s="40">
        <f t="shared" si="7"/>
        <v>1101.1969887187502</v>
      </c>
      <c r="R16" s="41">
        <f t="shared" si="2"/>
        <v>299158.51526859379</v>
      </c>
      <c r="S16" s="42"/>
      <c r="T16" s="42"/>
      <c r="U16" s="48">
        <f t="shared" ref="U16:U26" si="9">SUM(S16+T16)*25%</f>
        <v>0</v>
      </c>
      <c r="V16" s="43">
        <f t="shared" si="3"/>
        <v>299158.51526859379</v>
      </c>
      <c r="W16" s="63">
        <f t="shared" si="8"/>
        <v>3589902.1832231255</v>
      </c>
    </row>
    <row r="17" spans="1:23" ht="38.25" customHeight="1" thickBot="1" x14ac:dyDescent="0.3">
      <c r="A17" s="92"/>
      <c r="B17" s="44" t="s">
        <v>57</v>
      </c>
      <c r="C17" s="45">
        <v>1</v>
      </c>
      <c r="D17" s="42">
        <v>7197.13</v>
      </c>
      <c r="E17" s="36"/>
      <c r="F17" s="35"/>
      <c r="G17" s="47" t="s">
        <v>81</v>
      </c>
      <c r="H17" s="35">
        <f t="shared" si="0"/>
        <v>5225.1163799999995</v>
      </c>
      <c r="I17" s="35">
        <f>(D17+F17+H17+S17)*25%</f>
        <v>3105.5615950000001</v>
      </c>
      <c r="J17" s="38">
        <f>D17+F17+H17+S17+I17</f>
        <v>15527.807975</v>
      </c>
      <c r="K17" s="39">
        <v>4</v>
      </c>
      <c r="L17" s="40">
        <f t="shared" si="4"/>
        <v>621.11231899999996</v>
      </c>
      <c r="M17" s="40">
        <f t="shared" si="5"/>
        <v>155.27807974999999</v>
      </c>
      <c r="N17" s="41">
        <f t="shared" si="6"/>
        <v>16304.19837375</v>
      </c>
      <c r="O17" s="39">
        <v>1.5</v>
      </c>
      <c r="P17" s="40">
        <f t="shared" si="1"/>
        <v>244.56297560624998</v>
      </c>
      <c r="Q17" s="40">
        <f t="shared" si="7"/>
        <v>61.140743901562495</v>
      </c>
      <c r="R17" s="41">
        <f t="shared" si="2"/>
        <v>16609.902093257813</v>
      </c>
      <c r="S17" s="42"/>
      <c r="T17" s="42"/>
      <c r="U17" s="48">
        <f t="shared" si="9"/>
        <v>0</v>
      </c>
      <c r="V17" s="43">
        <f t="shared" si="3"/>
        <v>16609.902093257813</v>
      </c>
      <c r="W17" s="63">
        <f t="shared" si="8"/>
        <v>199318.82511909376</v>
      </c>
    </row>
    <row r="18" spans="1:23" ht="15.75" customHeight="1" thickBot="1" x14ac:dyDescent="0.3">
      <c r="A18" s="83" t="s">
        <v>58</v>
      </c>
      <c r="B18" s="44" t="s">
        <v>22</v>
      </c>
      <c r="C18" s="45">
        <v>1</v>
      </c>
      <c r="D18" s="42">
        <v>7791.27</v>
      </c>
      <c r="E18" s="36">
        <v>40</v>
      </c>
      <c r="F18" s="35">
        <f>D18*E18%</f>
        <v>3116.5080000000003</v>
      </c>
      <c r="G18" s="47" t="s">
        <v>59</v>
      </c>
      <c r="H18" s="35">
        <f t="shared" si="0"/>
        <v>7479.6192000000001</v>
      </c>
      <c r="I18" s="35">
        <f>(D18+F18+H18+S18)*25%</f>
        <v>4596.8492999999999</v>
      </c>
      <c r="J18" s="38">
        <f>D18+F18+H18+S18+I18</f>
        <v>22984.246500000001</v>
      </c>
      <c r="K18" s="39">
        <v>4</v>
      </c>
      <c r="L18" s="40">
        <f t="shared" si="4"/>
        <v>919.36986000000002</v>
      </c>
      <c r="M18" s="40">
        <f t="shared" si="5"/>
        <v>229.842465</v>
      </c>
      <c r="N18" s="41">
        <f t="shared" si="6"/>
        <v>24133.458825000002</v>
      </c>
      <c r="O18" s="39">
        <v>1.5</v>
      </c>
      <c r="P18" s="40">
        <f t="shared" si="1"/>
        <v>362.00188237500004</v>
      </c>
      <c r="Q18" s="40">
        <f t="shared" si="7"/>
        <v>90.500470593750009</v>
      </c>
      <c r="R18" s="41">
        <f t="shared" si="2"/>
        <v>24585.961177968751</v>
      </c>
      <c r="S18" s="42"/>
      <c r="T18" s="42"/>
      <c r="U18" s="48">
        <f t="shared" si="9"/>
        <v>0</v>
      </c>
      <c r="V18" s="43">
        <f t="shared" si="3"/>
        <v>24585.961177968751</v>
      </c>
      <c r="W18" s="63">
        <f t="shared" si="8"/>
        <v>295031.534135625</v>
      </c>
    </row>
    <row r="19" spans="1:23" ht="37.5" thickBot="1" x14ac:dyDescent="0.3">
      <c r="A19" s="93"/>
      <c r="B19" s="46" t="s">
        <v>60</v>
      </c>
      <c r="C19" s="45">
        <v>1</v>
      </c>
      <c r="D19" s="42">
        <v>8093.26</v>
      </c>
      <c r="E19" s="36">
        <v>40</v>
      </c>
      <c r="F19" s="35">
        <f>D19*E19%</f>
        <v>3237.3040000000001</v>
      </c>
      <c r="G19" s="47" t="s">
        <v>61</v>
      </c>
      <c r="H19" s="35">
        <f t="shared" si="0"/>
        <v>7688.5969999999998</v>
      </c>
      <c r="I19" s="35">
        <f>(D19+F19+H19+S19+U20)*25%</f>
        <v>4754.79025</v>
      </c>
      <c r="J19" s="38">
        <f>D19+F19+H19+S19+U20+I19</f>
        <v>23773.951249999998</v>
      </c>
      <c r="K19" s="39">
        <v>4</v>
      </c>
      <c r="L19" s="40">
        <f t="shared" si="4"/>
        <v>950.95804999999996</v>
      </c>
      <c r="M19" s="40">
        <f t="shared" si="5"/>
        <v>237.73951249999999</v>
      </c>
      <c r="N19" s="41">
        <f t="shared" si="6"/>
        <v>24962.6488125</v>
      </c>
      <c r="O19" s="39">
        <v>1.5</v>
      </c>
      <c r="P19" s="40">
        <f t="shared" si="1"/>
        <v>374.4397321875</v>
      </c>
      <c r="Q19" s="40">
        <f t="shared" si="7"/>
        <v>93.609933046875</v>
      </c>
      <c r="R19" s="41">
        <f t="shared" si="2"/>
        <v>25430.698477734375</v>
      </c>
      <c r="S19" s="42"/>
      <c r="T19" s="42"/>
      <c r="U19" s="48">
        <f t="shared" si="9"/>
        <v>0</v>
      </c>
      <c r="V19" s="43">
        <f t="shared" si="3"/>
        <v>25430.698477734375</v>
      </c>
      <c r="W19" s="63">
        <f t="shared" si="8"/>
        <v>305168.3817328125</v>
      </c>
    </row>
    <row r="20" spans="1:23" ht="15.75" thickBot="1" x14ac:dyDescent="0.3">
      <c r="A20" s="93"/>
      <c r="B20" s="44" t="s">
        <v>23</v>
      </c>
      <c r="C20" s="45">
        <v>1</v>
      </c>
      <c r="D20" s="42">
        <v>7443.99</v>
      </c>
      <c r="E20" s="49" t="s">
        <v>62</v>
      </c>
      <c r="F20" s="35">
        <f>D20*E20%</f>
        <v>1488.798</v>
      </c>
      <c r="G20" s="47" t="s">
        <v>63</v>
      </c>
      <c r="H20" s="35">
        <f t="shared" si="0"/>
        <v>7890.6293999999998</v>
      </c>
      <c r="I20" s="35">
        <f>(D20+F20+H20+S20)*25%</f>
        <v>4205.8543499999996</v>
      </c>
      <c r="J20" s="38">
        <f>D20+F20+H20+S20+I20</f>
        <v>21029.27175</v>
      </c>
      <c r="K20" s="39">
        <v>4</v>
      </c>
      <c r="L20" s="40">
        <f t="shared" si="4"/>
        <v>841.17087000000004</v>
      </c>
      <c r="M20" s="40">
        <f t="shared" si="5"/>
        <v>210.29271750000001</v>
      </c>
      <c r="N20" s="41">
        <f t="shared" si="6"/>
        <v>22080.735337500002</v>
      </c>
      <c r="O20" s="39">
        <v>1.5</v>
      </c>
      <c r="P20" s="40">
        <f t="shared" si="1"/>
        <v>331.21103006250001</v>
      </c>
      <c r="Q20" s="40">
        <f t="shared" si="7"/>
        <v>82.802757515625004</v>
      </c>
      <c r="R20" s="41">
        <f t="shared" si="2"/>
        <v>22494.749125078128</v>
      </c>
      <c r="S20" s="42"/>
      <c r="T20" s="42"/>
      <c r="U20" s="48">
        <f t="shared" si="9"/>
        <v>0</v>
      </c>
      <c r="V20" s="43">
        <f t="shared" si="3"/>
        <v>22494.749125078128</v>
      </c>
      <c r="W20" s="63">
        <f t="shared" si="8"/>
        <v>269936.98950093752</v>
      </c>
    </row>
    <row r="21" spans="1:23" ht="35.25" customHeight="1" thickBot="1" x14ac:dyDescent="0.3">
      <c r="A21" s="93"/>
      <c r="B21" s="44" t="s">
        <v>64</v>
      </c>
      <c r="C21" s="45">
        <v>1</v>
      </c>
      <c r="D21" s="42">
        <v>9189.81</v>
      </c>
      <c r="E21" s="36"/>
      <c r="F21" s="35"/>
      <c r="G21" s="47" t="s">
        <v>56</v>
      </c>
      <c r="H21" s="35">
        <f t="shared" si="0"/>
        <v>12773.835899999998</v>
      </c>
      <c r="I21" s="35">
        <f>(D21+F21+H21+S21)*25%</f>
        <v>5490.911474999999</v>
      </c>
      <c r="J21" s="38">
        <f>D21+F21+H21+S21+I21</f>
        <v>27454.557374999997</v>
      </c>
      <c r="K21" s="39">
        <v>4</v>
      </c>
      <c r="L21" s="40">
        <f t="shared" si="4"/>
        <v>1098.1822949999998</v>
      </c>
      <c r="M21" s="40">
        <f t="shared" si="5"/>
        <v>274.54557374999996</v>
      </c>
      <c r="N21" s="41">
        <f t="shared" si="6"/>
        <v>28827.285243749997</v>
      </c>
      <c r="O21" s="39">
        <v>1.5</v>
      </c>
      <c r="P21" s="40">
        <f t="shared" si="1"/>
        <v>432.40927865624991</v>
      </c>
      <c r="Q21" s="40">
        <f t="shared" si="7"/>
        <v>108.10231966406248</v>
      </c>
      <c r="R21" s="41">
        <f t="shared" si="2"/>
        <v>29367.796842070311</v>
      </c>
      <c r="S21" s="42"/>
      <c r="T21" s="42"/>
      <c r="U21" s="48">
        <f t="shared" si="9"/>
        <v>0</v>
      </c>
      <c r="V21" s="43">
        <f t="shared" si="3"/>
        <v>29367.796842070311</v>
      </c>
      <c r="W21" s="63">
        <f t="shared" si="8"/>
        <v>352413.56210484373</v>
      </c>
    </row>
    <row r="22" spans="1:23" ht="15.75" thickBot="1" x14ac:dyDescent="0.3">
      <c r="A22" s="92"/>
      <c r="B22" s="44" t="s">
        <v>65</v>
      </c>
      <c r="C22" s="45">
        <v>1</v>
      </c>
      <c r="D22" s="42">
        <v>9189.81</v>
      </c>
      <c r="E22" s="36"/>
      <c r="F22" s="35"/>
      <c r="G22" s="47" t="s">
        <v>56</v>
      </c>
      <c r="H22" s="35">
        <f t="shared" si="0"/>
        <v>12773.835899999998</v>
      </c>
      <c r="I22" s="35">
        <f>(D22+F22+H22+S22)*25%</f>
        <v>5490.911474999999</v>
      </c>
      <c r="J22" s="38">
        <f>D22+F22+H22+S22+I22</f>
        <v>27454.557374999997</v>
      </c>
      <c r="K22" s="39">
        <v>4</v>
      </c>
      <c r="L22" s="40">
        <f t="shared" si="4"/>
        <v>1098.1822949999998</v>
      </c>
      <c r="M22" s="40">
        <f t="shared" si="5"/>
        <v>274.54557374999996</v>
      </c>
      <c r="N22" s="41">
        <f t="shared" si="6"/>
        <v>28827.285243749997</v>
      </c>
      <c r="O22" s="39">
        <v>1.5</v>
      </c>
      <c r="P22" s="40">
        <f t="shared" si="1"/>
        <v>432.40927865624991</v>
      </c>
      <c r="Q22" s="40">
        <f t="shared" si="7"/>
        <v>108.10231966406248</v>
      </c>
      <c r="R22" s="41">
        <f t="shared" si="2"/>
        <v>29367.796842070311</v>
      </c>
      <c r="S22" s="42"/>
      <c r="T22" s="42"/>
      <c r="U22" s="48">
        <f t="shared" si="9"/>
        <v>0</v>
      </c>
      <c r="V22" s="43">
        <f t="shared" si="3"/>
        <v>29367.796842070311</v>
      </c>
      <c r="W22" s="63">
        <f t="shared" si="8"/>
        <v>352413.56210484373</v>
      </c>
    </row>
    <row r="23" spans="1:23" ht="25.5" customHeight="1" thickBot="1" x14ac:dyDescent="0.3">
      <c r="A23" s="83" t="s">
        <v>66</v>
      </c>
      <c r="B23" s="44" t="s">
        <v>67</v>
      </c>
      <c r="C23" s="45">
        <v>1</v>
      </c>
      <c r="D23" s="42">
        <v>7891.27</v>
      </c>
      <c r="E23" s="36">
        <v>40</v>
      </c>
      <c r="F23" s="35">
        <f t="shared" ref="F23:F28" si="10">D23*E23%</f>
        <v>3156.5080000000003</v>
      </c>
      <c r="G23" s="47" t="s">
        <v>68</v>
      </c>
      <c r="H23" s="35">
        <f t="shared" si="0"/>
        <v>9469.5239999999994</v>
      </c>
      <c r="I23" s="35">
        <f>(D23+F23+H23+S23)*25%</f>
        <v>5129.3254999999999</v>
      </c>
      <c r="J23" s="38">
        <f>D23+F23+H23+S23+I23</f>
        <v>25646.627499999999</v>
      </c>
      <c r="K23" s="39">
        <v>4</v>
      </c>
      <c r="L23" s="40">
        <f t="shared" si="4"/>
        <v>1025.8651</v>
      </c>
      <c r="M23" s="40">
        <f t="shared" si="5"/>
        <v>256.466275</v>
      </c>
      <c r="N23" s="41">
        <f t="shared" si="6"/>
        <v>26928.958874999997</v>
      </c>
      <c r="O23" s="39">
        <v>1.5</v>
      </c>
      <c r="P23" s="40">
        <f t="shared" si="1"/>
        <v>403.93438312499995</v>
      </c>
      <c r="Q23" s="40">
        <f t="shared" si="7"/>
        <v>100.98359578124999</v>
      </c>
      <c r="R23" s="41">
        <f t="shared" si="2"/>
        <v>27433.876853906248</v>
      </c>
      <c r="S23" s="42"/>
      <c r="T23" s="42"/>
      <c r="U23" s="48">
        <f t="shared" si="9"/>
        <v>0</v>
      </c>
      <c r="V23" s="43">
        <f t="shared" si="3"/>
        <v>27433.876853906248</v>
      </c>
      <c r="W23" s="63">
        <f t="shared" si="8"/>
        <v>329206.52224687499</v>
      </c>
    </row>
    <row r="24" spans="1:23" ht="15.75" thickBot="1" x14ac:dyDescent="0.3">
      <c r="A24" s="92"/>
      <c r="B24" s="44" t="s">
        <v>24</v>
      </c>
      <c r="C24" s="45">
        <v>3</v>
      </c>
      <c r="D24" s="42">
        <v>24279.78</v>
      </c>
      <c r="E24" s="36">
        <v>40</v>
      </c>
      <c r="F24" s="35">
        <f t="shared" si="10"/>
        <v>9711.9120000000003</v>
      </c>
      <c r="G24" s="47" t="s">
        <v>59</v>
      </c>
      <c r="H24" s="35">
        <f t="shared" si="0"/>
        <v>23308.588799999998</v>
      </c>
      <c r="I24" s="35">
        <f>(D24+F24+H24+S24)*25%</f>
        <v>14325.070199999998</v>
      </c>
      <c r="J24" s="38">
        <f>(D24+F24+H24+S24+I24)</f>
        <v>71625.350999999995</v>
      </c>
      <c r="K24" s="39">
        <v>4</v>
      </c>
      <c r="L24" s="40">
        <f t="shared" si="4"/>
        <v>2865.01404</v>
      </c>
      <c r="M24" s="40">
        <f t="shared" si="5"/>
        <v>716.25351000000001</v>
      </c>
      <c r="N24" s="41">
        <f t="shared" si="6"/>
        <v>75206.618549999985</v>
      </c>
      <c r="O24" s="39">
        <v>1.5</v>
      </c>
      <c r="P24" s="40">
        <f t="shared" si="1"/>
        <v>1128.0992782499998</v>
      </c>
      <c r="Q24" s="40">
        <f t="shared" si="7"/>
        <v>282.02481956249994</v>
      </c>
      <c r="R24" s="41">
        <f t="shared" si="2"/>
        <v>76616.742647812483</v>
      </c>
      <c r="S24" s="42"/>
      <c r="T24" s="42"/>
      <c r="U24" s="48">
        <f t="shared" si="9"/>
        <v>0</v>
      </c>
      <c r="V24" s="43">
        <f t="shared" si="3"/>
        <v>76616.742647812483</v>
      </c>
      <c r="W24" s="63">
        <f t="shared" si="8"/>
        <v>919400.91177374986</v>
      </c>
    </row>
    <row r="25" spans="1:23" ht="15.75" customHeight="1" thickBot="1" x14ac:dyDescent="0.3">
      <c r="A25" s="83" t="s">
        <v>69</v>
      </c>
      <c r="B25" s="44" t="s">
        <v>8</v>
      </c>
      <c r="C25" s="45">
        <v>1</v>
      </c>
      <c r="D25" s="42">
        <v>9512.6</v>
      </c>
      <c r="E25" s="36">
        <v>40</v>
      </c>
      <c r="F25" s="35">
        <f t="shared" si="10"/>
        <v>3805.0400000000004</v>
      </c>
      <c r="G25" s="47" t="s">
        <v>70</v>
      </c>
      <c r="H25" s="35">
        <f t="shared" si="0"/>
        <v>15790.915999999999</v>
      </c>
      <c r="I25" s="35">
        <f>(D25+F25+H25+S25+U26)*25%</f>
        <v>7352.1390000000001</v>
      </c>
      <c r="J25" s="38">
        <f>D25+F25+H25+S25+U26+I25</f>
        <v>36760.695</v>
      </c>
      <c r="K25" s="39">
        <v>4</v>
      </c>
      <c r="L25" s="40">
        <f t="shared" si="4"/>
        <v>1470.4277999999999</v>
      </c>
      <c r="M25" s="40">
        <f t="shared" si="5"/>
        <v>367.60694999999998</v>
      </c>
      <c r="N25" s="41">
        <f t="shared" si="6"/>
        <v>38598.729749999999</v>
      </c>
      <c r="O25" s="39">
        <v>1.5</v>
      </c>
      <c r="P25" s="40">
        <f t="shared" si="1"/>
        <v>578.98094624999999</v>
      </c>
      <c r="Q25" s="40">
        <f t="shared" si="7"/>
        <v>144.7452365625</v>
      </c>
      <c r="R25" s="41">
        <f t="shared" si="2"/>
        <v>39322.455932812496</v>
      </c>
      <c r="S25" s="42"/>
      <c r="T25" s="42"/>
      <c r="U25" s="48">
        <f t="shared" si="9"/>
        <v>0</v>
      </c>
      <c r="V25" s="43">
        <f t="shared" si="3"/>
        <v>39322.455932812496</v>
      </c>
      <c r="W25" s="63">
        <f t="shared" si="8"/>
        <v>471869.47119374992</v>
      </c>
    </row>
    <row r="26" spans="1:23" ht="15.75" thickBot="1" x14ac:dyDescent="0.3">
      <c r="A26" s="92"/>
      <c r="B26" s="44" t="s">
        <v>71</v>
      </c>
      <c r="C26" s="45">
        <v>1</v>
      </c>
      <c r="D26" s="42">
        <v>6175.64</v>
      </c>
      <c r="E26" s="36">
        <v>40</v>
      </c>
      <c r="F26" s="35">
        <f t="shared" si="10"/>
        <v>2470.2560000000003</v>
      </c>
      <c r="G26" s="47" t="s">
        <v>72</v>
      </c>
      <c r="H26" s="35">
        <f t="shared" si="0"/>
        <v>6052.1271999999999</v>
      </c>
      <c r="I26" s="35">
        <f>(D26+F26+H26)*25%</f>
        <v>3674.5057999999999</v>
      </c>
      <c r="J26" s="38">
        <f>D26+F26+H26+I26</f>
        <v>18372.528999999999</v>
      </c>
      <c r="K26" s="39">
        <v>4</v>
      </c>
      <c r="L26" s="40">
        <f>SUM(J26*K26%)</f>
        <v>734.90116</v>
      </c>
      <c r="M26" s="40">
        <f t="shared" si="5"/>
        <v>183.72529</v>
      </c>
      <c r="N26" s="41">
        <f t="shared" si="6"/>
        <v>19291.155449999998</v>
      </c>
      <c r="O26" s="39">
        <v>1.5</v>
      </c>
      <c r="P26" s="40">
        <f>SUM(N26*O26%)</f>
        <v>289.36733174999995</v>
      </c>
      <c r="Q26" s="40">
        <f t="shared" si="7"/>
        <v>72.341832937499987</v>
      </c>
      <c r="R26" s="41">
        <f>SUM(N26+P26+Q26)</f>
        <v>19652.8646146875</v>
      </c>
      <c r="S26" s="42">
        <v>1200</v>
      </c>
      <c r="T26" s="34"/>
      <c r="U26" s="48">
        <f t="shared" si="9"/>
        <v>300</v>
      </c>
      <c r="V26" s="43">
        <f>SUM(R26+S26+T26+U26)</f>
        <v>21152.8646146875</v>
      </c>
      <c r="W26" s="63">
        <f t="shared" si="8"/>
        <v>253834.37537625001</v>
      </c>
    </row>
    <row r="27" spans="1:23" ht="15.75" customHeight="1" thickBot="1" x14ac:dyDescent="0.3">
      <c r="A27" s="83" t="s">
        <v>73</v>
      </c>
      <c r="B27" s="44" t="s">
        <v>74</v>
      </c>
      <c r="C27" s="45">
        <v>1</v>
      </c>
      <c r="D27" s="42">
        <v>6794.71</v>
      </c>
      <c r="E27" s="36">
        <v>40</v>
      </c>
      <c r="F27" s="35">
        <f t="shared" si="10"/>
        <v>2717.884</v>
      </c>
      <c r="G27" s="47" t="s">
        <v>75</v>
      </c>
      <c r="H27" s="35">
        <f t="shared" si="0"/>
        <v>8017.7577999999994</v>
      </c>
      <c r="I27" s="35">
        <f>(D27+F27+H27+S27)*25%</f>
        <v>4382.5879500000001</v>
      </c>
      <c r="J27" s="38">
        <f>(D27+F27+H27+S27+I27)</f>
        <v>21912.939750000001</v>
      </c>
      <c r="K27" s="39">
        <v>4</v>
      </c>
      <c r="L27" s="40">
        <f t="shared" si="4"/>
        <v>876.51759000000004</v>
      </c>
      <c r="M27" s="40">
        <f t="shared" si="5"/>
        <v>219.12939750000001</v>
      </c>
      <c r="N27" s="41">
        <f t="shared" si="6"/>
        <v>23008.586737500002</v>
      </c>
      <c r="O27" s="39">
        <v>1.5</v>
      </c>
      <c r="P27" s="40">
        <f>SUM(N27*O27%)</f>
        <v>345.12880106250003</v>
      </c>
      <c r="Q27" s="40">
        <f t="shared" si="7"/>
        <v>86.282200265625008</v>
      </c>
      <c r="R27" s="41">
        <f>SUM(N27+P27+Q27)</f>
        <v>23439.997738828126</v>
      </c>
      <c r="S27" s="42"/>
      <c r="T27" s="42"/>
      <c r="U27" s="42"/>
      <c r="V27" s="43">
        <f>SUM(R27+S27+T27+U27)</f>
        <v>23439.997738828126</v>
      </c>
      <c r="W27" s="63">
        <f t="shared" si="8"/>
        <v>281279.97286593751</v>
      </c>
    </row>
    <row r="28" spans="1:23" ht="40.5" customHeight="1" thickBot="1" x14ac:dyDescent="0.3">
      <c r="A28" s="84"/>
      <c r="B28" s="66" t="s">
        <v>25</v>
      </c>
      <c r="C28" s="67">
        <v>2</v>
      </c>
      <c r="D28" s="68">
        <v>6945.72</v>
      </c>
      <c r="E28" s="69">
        <v>40</v>
      </c>
      <c r="F28" s="70">
        <f t="shared" si="10"/>
        <v>2778.2880000000005</v>
      </c>
      <c r="G28" s="71" t="s">
        <v>75</v>
      </c>
      <c r="H28" s="70">
        <f t="shared" si="0"/>
        <v>8195.9495999999999</v>
      </c>
      <c r="I28" s="70">
        <f>(D28+F28+H28+S28)*25%</f>
        <v>4479.9894000000004</v>
      </c>
      <c r="J28" s="72">
        <f>(D28+F28+H28+S28+I28)</f>
        <v>22399.947</v>
      </c>
      <c r="K28" s="73">
        <v>23.89</v>
      </c>
      <c r="L28" s="74">
        <f t="shared" si="4"/>
        <v>5351.3473383</v>
      </c>
      <c r="M28" s="74">
        <f t="shared" si="5"/>
        <v>1337.836834575</v>
      </c>
      <c r="N28" s="75">
        <f>SUM(J28+L28+M28)</f>
        <v>29089.131172875001</v>
      </c>
      <c r="O28" s="73">
        <v>1.5</v>
      </c>
      <c r="P28" s="74">
        <f>SUM(N28*O28%)</f>
        <v>436.336967593125</v>
      </c>
      <c r="Q28" s="74">
        <f t="shared" si="7"/>
        <v>109.08424189828125</v>
      </c>
      <c r="R28" s="75">
        <f>SUM(N28+P28+Q28)</f>
        <v>29634.552382366408</v>
      </c>
      <c r="S28" s="68"/>
      <c r="T28" s="68"/>
      <c r="U28" s="68"/>
      <c r="V28" s="76">
        <f>SUM(R28+S28+T28+U28)</f>
        <v>29634.552382366408</v>
      </c>
      <c r="W28" s="63">
        <f t="shared" si="8"/>
        <v>355614.62858839688</v>
      </c>
    </row>
    <row r="29" spans="1:23" ht="15.75" thickBot="1" x14ac:dyDescent="0.3">
      <c r="B29" s="50" t="s">
        <v>76</v>
      </c>
      <c r="C29" s="51">
        <f>SUM(C12:C28)</f>
        <v>30</v>
      </c>
      <c r="D29" s="52">
        <f>SUM(D12:D28)</f>
        <v>241383.3</v>
      </c>
      <c r="E29" s="52"/>
      <c r="F29" s="52">
        <f>SUM(F12:F28)</f>
        <v>47388.590000000004</v>
      </c>
      <c r="G29" s="53"/>
      <c r="H29" s="52">
        <f>SUM(H12:H28)</f>
        <v>324352.96398</v>
      </c>
      <c r="I29" s="52">
        <f>SUM(I12:I28)</f>
        <v>154367.870995</v>
      </c>
      <c r="J29" s="54">
        <f>SUM(J12:J28)</f>
        <v>771839.35497499991</v>
      </c>
      <c r="K29" s="77"/>
      <c r="L29" s="78">
        <f>SUM(L12:L28)</f>
        <v>35328.923657300002</v>
      </c>
      <c r="M29" s="78">
        <f>SUM(M12:M28)</f>
        <v>8832.2309143250004</v>
      </c>
      <c r="N29" s="79">
        <f>SUM(N12:N28)</f>
        <v>816000.50954662496</v>
      </c>
      <c r="O29" s="77"/>
      <c r="P29" s="78">
        <f t="shared" ref="P29:W29" si="11">SUM(P12:P28)</f>
        <v>12240.007643199377</v>
      </c>
      <c r="Q29" s="78">
        <f t="shared" si="11"/>
        <v>3060.0019107998442</v>
      </c>
      <c r="R29" s="79">
        <f t="shared" si="11"/>
        <v>831300.51910062425</v>
      </c>
      <c r="S29" s="80">
        <f t="shared" si="11"/>
        <v>1200</v>
      </c>
      <c r="T29" s="80">
        <f t="shared" si="11"/>
        <v>4046.63</v>
      </c>
      <c r="U29" s="80">
        <f t="shared" si="11"/>
        <v>1311.6575</v>
      </c>
      <c r="V29" s="80">
        <f t="shared" si="11"/>
        <v>837858.80660062411</v>
      </c>
      <c r="W29" s="141">
        <f t="shared" si="11"/>
        <v>10054305.679207491</v>
      </c>
    </row>
  </sheetData>
  <mergeCells count="30">
    <mergeCell ref="A1:V1"/>
    <mergeCell ref="A2:V2"/>
    <mergeCell ref="A12:A15"/>
    <mergeCell ref="A16:A17"/>
    <mergeCell ref="A18:A22"/>
    <mergeCell ref="B5:C5"/>
    <mergeCell ref="A6:B6"/>
    <mergeCell ref="B8:B10"/>
    <mergeCell ref="C8:C10"/>
    <mergeCell ref="A8:A9"/>
    <mergeCell ref="D8:D10"/>
    <mergeCell ref="E8:I8"/>
    <mergeCell ref="J8:J10"/>
    <mergeCell ref="K8:N9"/>
    <mergeCell ref="O8:R9"/>
    <mergeCell ref="S8:U8"/>
    <mergeCell ref="W8:W10"/>
    <mergeCell ref="A27:A28"/>
    <mergeCell ref="A7:V7"/>
    <mergeCell ref="C6:K6"/>
    <mergeCell ref="A4:B4"/>
    <mergeCell ref="A23:A24"/>
    <mergeCell ref="A25:A26"/>
    <mergeCell ref="V8:V10"/>
    <mergeCell ref="E9:F9"/>
    <mergeCell ref="G9:H9"/>
    <mergeCell ref="I9:I10"/>
    <mergeCell ref="S9:S10"/>
    <mergeCell ref="T9:T10"/>
    <mergeCell ref="U9:U10"/>
  </mergeCells>
  <printOptions horizontalCentered="1"/>
  <pageMargins left="0" right="0" top="0.74803149606299213" bottom="0.74803149606299213" header="0.31496062992125984" footer="0.31496062992125984"/>
  <pageSetup paperSize="9" scale="5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="60" zoomScaleNormal="100" workbookViewId="0">
      <selection activeCell="B9" sqref="B9:C9"/>
    </sheetView>
  </sheetViews>
  <sheetFormatPr defaultRowHeight="15" x14ac:dyDescent="0.25"/>
  <cols>
    <col min="2" max="2" width="27" customWidth="1"/>
    <col min="3" max="3" width="24.28515625" customWidth="1"/>
    <col min="4" max="4" width="23.28515625" customWidth="1"/>
    <col min="5" max="5" width="28.5703125" customWidth="1"/>
    <col min="6" max="6" width="20.5703125" customWidth="1"/>
    <col min="7" max="7" width="20.7109375" customWidth="1"/>
    <col min="8" max="8" width="22.28515625" customWidth="1"/>
    <col min="9" max="9" width="17.42578125" customWidth="1"/>
    <col min="10" max="10" width="25.140625" customWidth="1"/>
  </cols>
  <sheetData>
    <row r="1" spans="1:6" x14ac:dyDescent="0.25">
      <c r="A1" s="123" t="s">
        <v>14</v>
      </c>
      <c r="B1" s="123"/>
      <c r="C1" s="123"/>
      <c r="D1" s="123"/>
      <c r="E1" s="123"/>
      <c r="F1" s="9"/>
    </row>
    <row r="2" spans="1:6" ht="15.75" x14ac:dyDescent="0.25">
      <c r="A2" s="1"/>
      <c r="B2" s="23"/>
      <c r="C2" s="23"/>
    </row>
    <row r="3" spans="1:6" ht="18" customHeight="1" x14ac:dyDescent="0.25">
      <c r="A3" s="87" t="s">
        <v>1</v>
      </c>
      <c r="B3" s="87"/>
      <c r="C3" s="87"/>
      <c r="D3" s="124">
        <v>119</v>
      </c>
      <c r="E3" s="124"/>
      <c r="F3" s="21"/>
    </row>
    <row r="4" spans="1:6" ht="15.75" customHeight="1" x14ac:dyDescent="0.25">
      <c r="A4" s="23" t="s">
        <v>2</v>
      </c>
      <c r="B4" s="94" t="s">
        <v>2</v>
      </c>
      <c r="C4" s="94"/>
    </row>
    <row r="5" spans="1:6" ht="33" customHeight="1" x14ac:dyDescent="0.25">
      <c r="A5" s="87" t="s">
        <v>3</v>
      </c>
      <c r="B5" s="87"/>
      <c r="C5" s="87"/>
      <c r="D5" s="124" t="s">
        <v>4</v>
      </c>
      <c r="E5" s="124"/>
    </row>
    <row r="6" spans="1:6" ht="65.25" customHeight="1" thickBot="1" x14ac:dyDescent="0.3">
      <c r="A6" s="125" t="s">
        <v>30</v>
      </c>
      <c r="B6" s="125"/>
      <c r="C6" s="125"/>
      <c r="D6" s="125"/>
      <c r="E6" s="125"/>
      <c r="F6" s="10"/>
    </row>
    <row r="7" spans="1:6" ht="125.25" customHeight="1" x14ac:dyDescent="0.25">
      <c r="A7" s="19" t="s">
        <v>6</v>
      </c>
      <c r="B7" s="126" t="s">
        <v>15</v>
      </c>
      <c r="C7" s="127"/>
      <c r="D7" s="130" t="s">
        <v>16</v>
      </c>
      <c r="E7" s="130" t="s">
        <v>17</v>
      </c>
    </row>
    <row r="8" spans="1:6" ht="16.5" thickBot="1" x14ac:dyDescent="0.3">
      <c r="A8" s="20" t="s">
        <v>7</v>
      </c>
      <c r="B8" s="128"/>
      <c r="C8" s="129"/>
      <c r="D8" s="131"/>
      <c r="E8" s="131"/>
    </row>
    <row r="9" spans="1:6" ht="16.5" thickBot="1" x14ac:dyDescent="0.3">
      <c r="A9" s="2">
        <v>1</v>
      </c>
      <c r="B9" s="132">
        <v>2</v>
      </c>
      <c r="C9" s="133"/>
      <c r="D9" s="22">
        <v>3</v>
      </c>
      <c r="E9" s="22">
        <v>4</v>
      </c>
    </row>
    <row r="10" spans="1:6" ht="63" customHeight="1" thickBot="1" x14ac:dyDescent="0.3">
      <c r="A10" s="2">
        <v>1</v>
      </c>
      <c r="B10" s="121" t="s">
        <v>18</v>
      </c>
      <c r="C10" s="122"/>
      <c r="D10" s="22" t="s">
        <v>10</v>
      </c>
      <c r="E10" s="16">
        <f>SUM(D12*30.2%)</f>
        <v>3036398.6</v>
      </c>
    </row>
    <row r="11" spans="1:6" ht="15.75" x14ac:dyDescent="0.25">
      <c r="A11" s="6" t="s">
        <v>2</v>
      </c>
      <c r="B11" s="136" t="s">
        <v>26</v>
      </c>
      <c r="C11" s="137"/>
      <c r="D11" s="12" t="s">
        <v>2</v>
      </c>
      <c r="E11" s="7" t="s">
        <v>2</v>
      </c>
    </row>
    <row r="12" spans="1:6" ht="16.5" thickBot="1" x14ac:dyDescent="0.3">
      <c r="A12" s="8" t="s">
        <v>11</v>
      </c>
      <c r="B12" s="138" t="s">
        <v>27</v>
      </c>
      <c r="C12" s="139"/>
      <c r="D12" s="13">
        <v>10054300</v>
      </c>
      <c r="E12" s="14">
        <f>SUM(D12*22%)</f>
        <v>2211946</v>
      </c>
    </row>
    <row r="13" spans="1:6" ht="78.75" customHeight="1" thickBot="1" x14ac:dyDescent="0.3">
      <c r="A13" s="2">
        <v>2</v>
      </c>
      <c r="B13" s="121" t="s">
        <v>19</v>
      </c>
      <c r="C13" s="122"/>
      <c r="D13" s="22" t="s">
        <v>10</v>
      </c>
      <c r="E13" s="4" t="s">
        <v>2</v>
      </c>
    </row>
    <row r="14" spans="1:6" ht="15.75" x14ac:dyDescent="0.25">
      <c r="A14" s="6" t="s">
        <v>2</v>
      </c>
      <c r="B14" s="136" t="s">
        <v>26</v>
      </c>
      <c r="C14" s="137"/>
      <c r="D14" s="7" t="s">
        <v>2</v>
      </c>
      <c r="E14" s="7" t="s">
        <v>2</v>
      </c>
    </row>
    <row r="15" spans="1:6" ht="126.75" customHeight="1" thickBot="1" x14ac:dyDescent="0.3">
      <c r="A15" s="8" t="s">
        <v>12</v>
      </c>
      <c r="B15" s="138" t="s">
        <v>28</v>
      </c>
      <c r="C15" s="139"/>
      <c r="D15" s="13">
        <v>10054300</v>
      </c>
      <c r="E15" s="14">
        <f>SUM(D15*2.9%)</f>
        <v>291574.69999999995</v>
      </c>
    </row>
    <row r="16" spans="1:6" ht="126.75" customHeight="1" thickBot="1" x14ac:dyDescent="0.3">
      <c r="A16" s="2" t="s">
        <v>13</v>
      </c>
      <c r="B16" s="132" t="s">
        <v>29</v>
      </c>
      <c r="C16" s="140"/>
      <c r="D16" s="15">
        <v>10054300</v>
      </c>
      <c r="E16" s="15">
        <f>SUM(D16*0.2%)</f>
        <v>20108.600000000002</v>
      </c>
    </row>
    <row r="17" spans="1:5" ht="141.75" customHeight="1" thickBot="1" x14ac:dyDescent="0.3">
      <c r="A17" s="2">
        <v>3</v>
      </c>
      <c r="B17" s="121" t="s">
        <v>20</v>
      </c>
      <c r="C17" s="122"/>
      <c r="D17" s="15">
        <v>10054300</v>
      </c>
      <c r="E17" s="15">
        <f>SUM(D17*5.1%)</f>
        <v>512769.3</v>
      </c>
    </row>
    <row r="18" spans="1:5" ht="16.5" thickBot="1" x14ac:dyDescent="0.3">
      <c r="A18" s="3" t="s">
        <v>2</v>
      </c>
      <c r="B18" s="134" t="s">
        <v>9</v>
      </c>
      <c r="C18" s="135"/>
      <c r="D18" s="22" t="s">
        <v>10</v>
      </c>
      <c r="E18" s="16">
        <f>SUM(E12:E17)</f>
        <v>3036398.6</v>
      </c>
    </row>
  </sheetData>
  <mergeCells count="20">
    <mergeCell ref="B17:C17"/>
    <mergeCell ref="B18:C18"/>
    <mergeCell ref="B11:C11"/>
    <mergeCell ref="B12:C12"/>
    <mergeCell ref="B13:C13"/>
    <mergeCell ref="B14:C14"/>
    <mergeCell ref="B15:C15"/>
    <mergeCell ref="B16:C16"/>
    <mergeCell ref="B10:C10"/>
    <mergeCell ref="A1:E1"/>
    <mergeCell ref="A3:C3"/>
    <mergeCell ref="D3:E3"/>
    <mergeCell ref="B4:C4"/>
    <mergeCell ref="A5:C5"/>
    <mergeCell ref="D5:E5"/>
    <mergeCell ref="A6:E6"/>
    <mergeCell ref="B7:C8"/>
    <mergeCell ref="D7:D8"/>
    <mergeCell ref="E7:E8"/>
    <mergeCell ref="B9:C9"/>
  </mergeCells>
  <pageMargins left="0.9055118110236221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211</vt:lpstr>
      <vt:lpstr>213</vt:lpstr>
      <vt:lpstr>'211'!Область_печати</vt:lpstr>
      <vt:lpstr>'213'!Область_печати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RePack by Diakov</cp:lastModifiedBy>
  <cp:lastPrinted>2018-04-13T07:53:31Z</cp:lastPrinted>
  <dcterms:created xsi:type="dcterms:W3CDTF">2016-10-25T01:50:16Z</dcterms:created>
  <dcterms:modified xsi:type="dcterms:W3CDTF">2018-04-13T07:53:39Z</dcterms:modified>
</cp:coreProperties>
</file>